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<sst xmlns="http://schemas.openxmlformats.org/spreadsheetml/2006/main" count="756" uniqueCount="166">
  <si>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</si>
  <si>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</si>
  <si>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</si>
  <si>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</si>
  <si>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</si>
  <si>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</si>
  <si>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</si>
  <si>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</si>
  <si>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</si>
  <si>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</si>
  <si>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</si>
  <si>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</si>
  <si>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</si>
  <si>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</si>
  <si>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</si>
  <si>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</si>
  <si>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</si>
  <si>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</si>
  <si>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</si>
  <si>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</si>
  <si>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</si>
  <si>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</si>
  <si>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</si>
  <si>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</si>
  <si>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</si>
  <si>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</si>
  <si>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</si>
  <si>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</si>
  <si>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</si>
  <si>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</si>
  <si>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</si>
  <si>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</si>
  <si>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</si>
  <si>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</si>
  <si>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</si>
  <si>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</si>
  <si>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</si>
  <si>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</si>
  <si>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</si>
  <si>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</si>
  <si>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</si>
  <si>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</si>
  <si>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</si>
  <si>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</si>
  <si>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</si>
  <si>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</si>
  <si>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</si>
  <si>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</si>
  <si>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</si>
  <si>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</si>
  <si>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</si>
  <si>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</si>
  <si>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</si>
  <si>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</si>
  <si>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</si>
  <si>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</si>
  <si>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</si>
  <si>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</si>
  <si>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</si>
  <si>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</si>
  <si>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</si>
  <si>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</si>
  <si>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</si>
  <si>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</si>
  <si>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</si>
  <si>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</si>
  <si>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</si>
  <si>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</si>
  <si>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</si>
  <si>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</si>
  <si>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</si>
  <si>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</si>
  <si>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</si>
  <si>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</si>
  <si>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</si>
  <si>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</si>
  <si>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</si>
  <si>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</si>
  <si>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</si>
  <si>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</si>
  <si>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</si>
  <si>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</si>
  <si>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</si>
  <si>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</si>
  <si>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</si>
  <si>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</si>
  <si>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</si>
  <si>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</si>
  <si>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</si>
  <si>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</si>
  <si>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</si>
  <si>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</si>
  <si>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</si>
  <si>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</si>
  <si>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</si>
  <si>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</si>
  <si>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</si>
  <si>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</si>
  <si>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</si>
  <si>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</si>
  <si>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</si>
  <si>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</si>
  <si>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</si>
  <si>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</si>
  <si>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</si>
  <si>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</si>
  <si>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</si>
  <si>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</si>
  <si>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</si>
  <si>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</si>
  <si>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</si>
  <si>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</si>
  <si>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</si>
  <si>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</si>
  <si>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</si>
  <si>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</si>
  <si>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</si>
  <si>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</si>
  <si>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</si>
  <si>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</si>
  <si>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</si>
  <si>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</si>
  <si>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</si>
  <si>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</si>
  <si>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</si>
  <si>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</si>
  <si>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</si>
  <si>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</si>
  <si>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</si>
  <si>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</si>
  <si>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</si>
  <si>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</si>
  <si>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</si>
  <si>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</si>
  <si>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</si>
  <si>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</si>
  <si>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</si>
  <si>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</si>
  <si>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</si>
  <si>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</si>
  <si>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</si>
  <si>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</si>
  <si>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</si>
  <si>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</si>
  <si>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</si>
  <si>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</si>
  <si>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</si>
  <si>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</si>
  <si>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</si>
  <si>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</si>
  <si>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</si>
  <si>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</si>
  <si>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</si>
  <si>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</si>
  <si>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</si>
  <si>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</si>
  <si>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</si>
  <si>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</si>
  <si>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</si>
  <si>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</si>
  <si>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</si>
  <si>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</si>
  <si>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</si>
  <si>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</si>
  <si>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17.05.2016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</si>
  <si>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16.05.16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</si>
</sst>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7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26" fillId="0" borderId="0">
      <alignment/>
      <protection/>
    </xf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5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6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7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8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8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9" sqref="D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162</v>
      </c>
      <c r="N3" s="270" t="s">
        <v>163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158</v>
      </c>
      <c r="F4" s="253" t="s">
        <v>34</v>
      </c>
      <c r="G4" s="247" t="s">
        <v>159</v>
      </c>
      <c r="H4" s="255" t="s">
        <v>160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165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161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337436.48</v>
      </c>
      <c r="F8" s="191">
        <f>F9+F15+F18+F19+F20+F32+F17</f>
        <v>323003.98</v>
      </c>
      <c r="G8" s="191">
        <f aca="true" t="shared" si="0" ref="G8:G21">F8-E8</f>
        <v>-14432.5</v>
      </c>
      <c r="H8" s="192">
        <f>F8/E8*100</f>
        <v>95.72289872156087</v>
      </c>
      <c r="I8" s="193">
        <f>F8-D8</f>
        <v>-518046.02</v>
      </c>
      <c r="J8" s="193">
        <f>F8/D8*100</f>
        <v>38.40484870102848</v>
      </c>
      <c r="K8" s="191">
        <f>F8-252732.09</f>
        <v>70271.88999999998</v>
      </c>
      <c r="L8" s="191">
        <f>F8/252732.09*100</f>
        <v>127.8048941074321</v>
      </c>
      <c r="M8" s="191">
        <f>M9+M15+M18+M19+M20+M32+M17</f>
        <v>65761.8</v>
      </c>
      <c r="N8" s="191">
        <f>N9+N15+N18+N19+N20+N32+N17</f>
        <v>28873.350000000028</v>
      </c>
      <c r="O8" s="191">
        <f>N8-M8</f>
        <v>-36888.449999999975</v>
      </c>
      <c r="P8" s="191">
        <f>N8/M8*100</f>
        <v>43.9059606032682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179402.27</v>
      </c>
      <c r="F9" s="196">
        <v>174910.09</v>
      </c>
      <c r="G9" s="190">
        <f t="shared" si="0"/>
        <v>-4492.179999999993</v>
      </c>
      <c r="H9" s="197">
        <f>F9/E9*100</f>
        <v>97.49602945380792</v>
      </c>
      <c r="I9" s="198">
        <f>F9-D9</f>
        <v>-284789.91000000003</v>
      </c>
      <c r="J9" s="198">
        <f>F9/D9*100</f>
        <v>38.04874700891886</v>
      </c>
      <c r="K9" s="199">
        <f>F9-138082.5</f>
        <v>36827.59</v>
      </c>
      <c r="L9" s="199">
        <f>F9/138082.5*100</f>
        <v>126.67071497112235</v>
      </c>
      <c r="M9" s="197">
        <f>E9-квітень!E9</f>
        <v>33619</v>
      </c>
      <c r="N9" s="200">
        <f>F9-квітень!F9</f>
        <v>16872.290000000008</v>
      </c>
      <c r="O9" s="201">
        <f>N9-M9</f>
        <v>-16746.709999999992</v>
      </c>
      <c r="P9" s="198">
        <f>N9/M9*100</f>
        <v>50.18676938635893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160645.84</v>
      </c>
      <c r="F10" s="171">
        <v>153427.33</v>
      </c>
      <c r="G10" s="109">
        <f t="shared" si="0"/>
        <v>-7218.510000000009</v>
      </c>
      <c r="H10" s="32">
        <f aca="true" t="shared" si="1" ref="H10:H31">F10/E10*100</f>
        <v>95.50656898429489</v>
      </c>
      <c r="I10" s="110">
        <f aca="true" t="shared" si="2" ref="I10:I32">F10-D10</f>
        <v>-258012.67</v>
      </c>
      <c r="J10" s="110">
        <f aca="true" t="shared" si="3" ref="J10:J31">F10/D10*100</f>
        <v>37.29032908808088</v>
      </c>
      <c r="K10" s="112">
        <f>F10-122193.74</f>
        <v>31233.589999999982</v>
      </c>
      <c r="L10" s="112">
        <f>F10/122193.74*100</f>
        <v>125.56071202992885</v>
      </c>
      <c r="M10" s="111">
        <f>E10-квітень!E10</f>
        <v>29729</v>
      </c>
      <c r="N10" s="179">
        <f>F10-квітень!F10</f>
        <v>15611.339999999997</v>
      </c>
      <c r="O10" s="112">
        <f aca="true" t="shared" si="4" ref="O10:O32">N10-M10</f>
        <v>-14117.660000000003</v>
      </c>
      <c r="P10" s="198">
        <f aca="true" t="shared" si="5" ref="P10:P16">N10/M10*100</f>
        <v>52.512159843923435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10264.94</v>
      </c>
      <c r="F11" s="171">
        <v>12544.9</v>
      </c>
      <c r="G11" s="109">
        <f t="shared" si="0"/>
        <v>2279.959999999999</v>
      </c>
      <c r="H11" s="32">
        <f t="shared" si="1"/>
        <v>122.21113810699332</v>
      </c>
      <c r="I11" s="110">
        <f t="shared" si="2"/>
        <v>-10455.1</v>
      </c>
      <c r="J11" s="110">
        <f t="shared" si="3"/>
        <v>54.54304347826087</v>
      </c>
      <c r="K11" s="112">
        <f>F11-7771.39</f>
        <v>4773.509999999999</v>
      </c>
      <c r="L11" s="112">
        <f>F11/7771.39*100</f>
        <v>161.42414677425788</v>
      </c>
      <c r="M11" s="111">
        <f>E11-квітень!E11</f>
        <v>1630</v>
      </c>
      <c r="N11" s="179">
        <f>F11-квітень!F11</f>
        <v>1057.3599999999988</v>
      </c>
      <c r="O11" s="112">
        <f t="shared" si="4"/>
        <v>-572.6400000000012</v>
      </c>
      <c r="P11" s="198">
        <f t="shared" si="5"/>
        <v>64.86871165644165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4250.22</v>
      </c>
      <c r="G12" s="109">
        <f t="shared" si="0"/>
        <v>2029.6100000000001</v>
      </c>
      <c r="H12" s="32">
        <f t="shared" si="1"/>
        <v>191.39875980023507</v>
      </c>
      <c r="I12" s="110">
        <f t="shared" si="2"/>
        <v>-2249.7799999999997</v>
      </c>
      <c r="J12" s="110">
        <f t="shared" si="3"/>
        <v>65.388</v>
      </c>
      <c r="K12" s="112">
        <f>F12-2169.03</f>
        <v>2081.19</v>
      </c>
      <c r="L12" s="112">
        <f>F12/2169.03*100</f>
        <v>195.95026348183288</v>
      </c>
      <c r="M12" s="111">
        <f>E12-квітень!E12</f>
        <v>530.0000000000002</v>
      </c>
      <c r="N12" s="179">
        <f>F12-квітень!F12</f>
        <v>153.78999999999996</v>
      </c>
      <c r="O12" s="112">
        <f t="shared" si="4"/>
        <v>-376.21000000000026</v>
      </c>
      <c r="P12" s="198">
        <f t="shared" si="5"/>
        <v>29.016981132075454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3261.27</v>
      </c>
      <c r="G13" s="109">
        <f t="shared" si="0"/>
        <v>-503.57000000000016</v>
      </c>
      <c r="H13" s="32">
        <f t="shared" si="1"/>
        <v>86.62439838080768</v>
      </c>
      <c r="I13" s="110">
        <f t="shared" si="2"/>
        <v>-9138.73</v>
      </c>
      <c r="J13" s="110">
        <f t="shared" si="3"/>
        <v>26.300564516129032</v>
      </c>
      <c r="K13" s="112">
        <f>F13-2303.67</f>
        <v>957.5999999999999</v>
      </c>
      <c r="L13" s="112">
        <f>F13/2303.67*100</f>
        <v>141.56845381499954</v>
      </c>
      <c r="M13" s="111">
        <f>E13-квітень!E13</f>
        <v>1100</v>
      </c>
      <c r="N13" s="179">
        <f>F13-квітень!F13</f>
        <v>49.789999999999964</v>
      </c>
      <c r="O13" s="112">
        <f t="shared" si="4"/>
        <v>-1050.21</v>
      </c>
      <c r="P13" s="198">
        <f t="shared" si="5"/>
        <v>4.526363636363633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1426.36</v>
      </c>
      <c r="G14" s="109">
        <f t="shared" si="0"/>
        <v>-1079.68</v>
      </c>
      <c r="H14" s="32">
        <f t="shared" si="1"/>
        <v>56.91688879666725</v>
      </c>
      <c r="I14" s="110">
        <f t="shared" si="2"/>
        <v>-4933.64</v>
      </c>
      <c r="J14" s="110">
        <f t="shared" si="3"/>
        <v>22.42704402515723</v>
      </c>
      <c r="K14" s="112">
        <f>F14-3644.66</f>
        <v>-2218.3</v>
      </c>
      <c r="L14" s="112">
        <f>F14/3644.66*100</f>
        <v>39.13561210099159</v>
      </c>
      <c r="M14" s="111">
        <f>E14-квітень!E14</f>
        <v>630</v>
      </c>
      <c r="N14" s="179">
        <f>F14-квітень!F14</f>
        <v>0</v>
      </c>
      <c r="O14" s="112">
        <f t="shared" si="4"/>
        <v>-630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294.96</v>
      </c>
      <c r="G15" s="190">
        <f t="shared" si="0"/>
        <v>59.95999999999998</v>
      </c>
      <c r="H15" s="197">
        <f>F15/E15*100</f>
        <v>125.51489361702126</v>
      </c>
      <c r="I15" s="198">
        <f t="shared" si="2"/>
        <v>-205.04000000000002</v>
      </c>
      <c r="J15" s="198">
        <f t="shared" si="3"/>
        <v>58.992</v>
      </c>
      <c r="K15" s="201">
        <f>F15-(-880.74)</f>
        <v>1175.7</v>
      </c>
      <c r="L15" s="201">
        <f>F15/(-880.74)*100</f>
        <v>-33.49001975611417</v>
      </c>
      <c r="M15" s="197">
        <f>E15-квітень!E15</f>
        <v>115</v>
      </c>
      <c r="N15" s="200">
        <f>F15-квітень!F15</f>
        <v>109.11999999999998</v>
      </c>
      <c r="O15" s="201">
        <f t="shared" si="4"/>
        <v>-5.880000000000024</v>
      </c>
      <c r="P15" s="198">
        <f t="shared" si="5"/>
        <v>94.88695652173911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197">
        <f>E17-квітень!E17</f>
        <v>0</v>
      </c>
      <c r="N17" s="200">
        <f>F17-квітень!F17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26280.47</v>
      </c>
      <c r="G19" s="190">
        <f t="shared" si="0"/>
        <v>-11779.93</v>
      </c>
      <c r="H19" s="197">
        <f t="shared" si="1"/>
        <v>69.04937940746812</v>
      </c>
      <c r="I19" s="198">
        <f t="shared" si="2"/>
        <v>-83619.53</v>
      </c>
      <c r="J19" s="198">
        <f t="shared" si="3"/>
        <v>23.913075523202913</v>
      </c>
      <c r="K19" s="209">
        <f>F19-23140.48</f>
        <v>3139.9900000000016</v>
      </c>
      <c r="L19" s="209">
        <f>F19/23140.48*100</f>
        <v>113.56925180462983</v>
      </c>
      <c r="M19" s="197">
        <f>E19-квітень!E19</f>
        <v>9500</v>
      </c>
      <c r="N19" s="200">
        <f>F19-квітень!F19</f>
        <v>261.84000000000015</v>
      </c>
      <c r="O19" s="201">
        <f t="shared" si="4"/>
        <v>-9238.16</v>
      </c>
      <c r="P19" s="198">
        <f>N19/M19*100</f>
        <v>2.7562105263157908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119728.81</v>
      </c>
      <c r="F20" s="210">
        <f>F21+F25+F27+F26</f>
        <v>121412.61000000002</v>
      </c>
      <c r="G20" s="190">
        <f t="shared" si="0"/>
        <v>1683.8000000000175</v>
      </c>
      <c r="H20" s="197">
        <f t="shared" si="1"/>
        <v>101.40634488892024</v>
      </c>
      <c r="I20" s="198">
        <f t="shared" si="2"/>
        <v>-149527.38999999998</v>
      </c>
      <c r="J20" s="198">
        <f t="shared" si="3"/>
        <v>44.81162249944638</v>
      </c>
      <c r="K20" s="198">
        <f>F20-88353.34</f>
        <v>33059.27000000002</v>
      </c>
      <c r="L20" s="198">
        <f>F20/88353.34*100</f>
        <v>137.41711405590328</v>
      </c>
      <c r="M20" s="197">
        <f>M21+M25+M26+M27</f>
        <v>22527.800000000003</v>
      </c>
      <c r="N20" s="200">
        <f>F20-квітень!F20</f>
        <v>11630.10000000002</v>
      </c>
      <c r="O20" s="201">
        <f t="shared" si="4"/>
        <v>-10897.699999999983</v>
      </c>
      <c r="P20" s="198">
        <f>N20/M20*100</f>
        <v>51.62554710180319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63596.26</v>
      </c>
      <c r="F21" s="211">
        <f>F22+F23+F24</f>
        <v>59881.869999999995</v>
      </c>
      <c r="G21" s="190">
        <f t="shared" si="0"/>
        <v>-3714.3900000000067</v>
      </c>
      <c r="H21" s="197">
        <f t="shared" si="1"/>
        <v>94.15942069549372</v>
      </c>
      <c r="I21" s="198">
        <f t="shared" si="2"/>
        <v>-101518.13</v>
      </c>
      <c r="J21" s="198">
        <f t="shared" si="3"/>
        <v>37.101530359355635</v>
      </c>
      <c r="K21" s="198">
        <f>F21-45791.35</f>
        <v>14090.519999999997</v>
      </c>
      <c r="L21" s="198">
        <f>F21/45791.35*100</f>
        <v>130.77113909067978</v>
      </c>
      <c r="M21" s="197">
        <f>M22+M23+M24</f>
        <v>11910</v>
      </c>
      <c r="N21" s="200">
        <f>F21-квітень!F21</f>
        <v>1845.6199999999953</v>
      </c>
      <c r="O21" s="201">
        <f t="shared" si="4"/>
        <v>-10064.380000000005</v>
      </c>
      <c r="P21" s="198">
        <f>N21/M21*100</f>
        <v>15.496389588580985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6871.6</v>
      </c>
      <c r="F22" s="213">
        <v>8463.7</v>
      </c>
      <c r="G22" s="212">
        <f>F22-E22</f>
        <v>1592.1000000000004</v>
      </c>
      <c r="H22" s="214">
        <f t="shared" si="1"/>
        <v>123.16927644216777</v>
      </c>
      <c r="I22" s="215">
        <f t="shared" si="2"/>
        <v>-10036.3</v>
      </c>
      <c r="J22" s="215">
        <f t="shared" si="3"/>
        <v>45.74972972972973</v>
      </c>
      <c r="K22" s="216">
        <f>F22-4439.46</f>
        <v>4024.2400000000007</v>
      </c>
      <c r="L22" s="216">
        <f>F22/4439.46*100</f>
        <v>190.64706067855101</v>
      </c>
      <c r="M22" s="214">
        <f>E22-квітень!E22</f>
        <v>240</v>
      </c>
      <c r="N22" s="217">
        <f>F22-квітень!F22</f>
        <v>50.4900000000016</v>
      </c>
      <c r="O22" s="218">
        <f t="shared" si="4"/>
        <v>-189.5099999999984</v>
      </c>
      <c r="P22" s="215">
        <f>N22/M22*100</f>
        <v>21.037500000000666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393</v>
      </c>
      <c r="G23" s="212">
        <f>F23-E23</f>
        <v>116.16000000000003</v>
      </c>
      <c r="H23" s="214">
        <f t="shared" si="1"/>
        <v>141.95925444299957</v>
      </c>
      <c r="I23" s="215">
        <f t="shared" si="2"/>
        <v>-2407</v>
      </c>
      <c r="J23" s="215">
        <f t="shared" si="3"/>
        <v>14.035714285714285</v>
      </c>
      <c r="K23" s="215">
        <f>F23-173.09</f>
        <v>219.91</v>
      </c>
      <c r="L23" s="215">
        <f>F23/173.09*100</f>
        <v>227.04951181466288</v>
      </c>
      <c r="M23" s="214">
        <f>E23-квітень!E23</f>
        <v>0</v>
      </c>
      <c r="N23" s="217">
        <f>F23-квітень!F23</f>
        <v>6.420000000000016</v>
      </c>
      <c r="O23" s="218">
        <f t="shared" si="4"/>
        <v>6.420000000000016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56447.82</v>
      </c>
      <c r="F24" s="213">
        <v>51025.17</v>
      </c>
      <c r="G24" s="212">
        <f>F24-E24</f>
        <v>-5422.6500000000015</v>
      </c>
      <c r="H24" s="214">
        <f t="shared" si="1"/>
        <v>90.39351741130127</v>
      </c>
      <c r="I24" s="215">
        <f t="shared" si="2"/>
        <v>-89074.83</v>
      </c>
      <c r="J24" s="215">
        <f t="shared" si="3"/>
        <v>36.42053533190578</v>
      </c>
      <c r="K24" s="216">
        <f>F24-41178.8</f>
        <v>9846.369999999995</v>
      </c>
      <c r="L24" s="216">
        <f>F24/41178.8*100</f>
        <v>123.91126016299647</v>
      </c>
      <c r="M24" s="214">
        <f>E24-квітень!E24</f>
        <v>11670</v>
      </c>
      <c r="N24" s="217">
        <f>F24-квітень!F24</f>
        <v>1788.7099999999991</v>
      </c>
      <c r="O24" s="218">
        <f t="shared" si="4"/>
        <v>-9881.29</v>
      </c>
      <c r="P24" s="215">
        <f>N24/M24*100</f>
        <v>15.327420736932298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30.51</v>
      </c>
      <c r="F25" s="196">
        <v>39.44</v>
      </c>
      <c r="G25" s="190">
        <f>F25-E25</f>
        <v>8.929999999999996</v>
      </c>
      <c r="H25" s="197">
        <f t="shared" si="1"/>
        <v>129.2690921009505</v>
      </c>
      <c r="I25" s="198">
        <f t="shared" si="2"/>
        <v>-37.56</v>
      </c>
      <c r="J25" s="198">
        <f t="shared" si="3"/>
        <v>51.22077922077922</v>
      </c>
      <c r="K25" s="198">
        <f>F25-33.2</f>
        <v>6.239999999999995</v>
      </c>
      <c r="L25" s="198">
        <f>F25/33.2*100</f>
        <v>118.79518072289154</v>
      </c>
      <c r="M25" s="197">
        <f>E25-квітень!E25</f>
        <v>11</v>
      </c>
      <c r="N25" s="200">
        <f>F25-квітень!F25</f>
        <v>6.729999999999997</v>
      </c>
      <c r="O25" s="201">
        <f t="shared" si="4"/>
        <v>-4.270000000000003</v>
      </c>
      <c r="P25" s="198">
        <f>N25/M25*100</f>
        <v>61.18181818181815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-107.43</v>
      </c>
      <c r="G26" s="190">
        <f aca="true" t="shared" si="6" ref="G26:G32">F26-E26</f>
        <v>-107.43</v>
      </c>
      <c r="H26" s="197"/>
      <c r="I26" s="198">
        <f t="shared" si="2"/>
        <v>-107.43</v>
      </c>
      <c r="J26" s="198"/>
      <c r="K26" s="198">
        <f>F26-(-205.49)</f>
        <v>98.06</v>
      </c>
      <c r="L26" s="198">
        <f>F26/(-205.49)*100</f>
        <v>52.27991629763006</v>
      </c>
      <c r="M26" s="197">
        <f>E26-квітень!E26</f>
        <v>0</v>
      </c>
      <c r="N26" s="200">
        <f>F26-квітень!F26</f>
        <v>-0.4200000000000017</v>
      </c>
      <c r="O26" s="201">
        <f t="shared" si="4"/>
        <v>-0.4200000000000017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202">
        <v>109463</v>
      </c>
      <c r="E27" s="202">
        <v>56102.04</v>
      </c>
      <c r="F27" s="203">
        <v>61598.73</v>
      </c>
      <c r="G27" s="202">
        <f t="shared" si="6"/>
        <v>5496.690000000002</v>
      </c>
      <c r="H27" s="204">
        <f t="shared" si="1"/>
        <v>109.797665111643</v>
      </c>
      <c r="I27" s="205">
        <f t="shared" si="2"/>
        <v>-47864.27</v>
      </c>
      <c r="J27" s="205">
        <f t="shared" si="3"/>
        <v>56.273562756365166</v>
      </c>
      <c r="K27" s="219">
        <f>F27-42734.29</f>
        <v>18864.440000000002</v>
      </c>
      <c r="L27" s="219">
        <f>F27/42734.29*100</f>
        <v>144.1435671447917</v>
      </c>
      <c r="M27" s="197">
        <f>E27-квітень!E27</f>
        <v>10606.800000000003</v>
      </c>
      <c r="N27" s="200">
        <f>F27-квітень!F27</f>
        <v>9778.170000000006</v>
      </c>
      <c r="O27" s="207">
        <f t="shared" si="4"/>
        <v>-828.6299999999974</v>
      </c>
      <c r="P27" s="205">
        <f>N27/M27*100</f>
        <v>92.18774748274694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F28-(-1.2)</f>
        <v>1.38</v>
      </c>
      <c r="L28" s="142"/>
      <c r="M28" s="111">
        <f>E28-квітень!E28</f>
        <v>0</v>
      </c>
      <c r="N28" s="179">
        <f>F28-квітень!F28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14755.97</v>
      </c>
      <c r="F29" s="171">
        <v>15542.11</v>
      </c>
      <c r="G29" s="109">
        <f t="shared" si="6"/>
        <v>786.1400000000012</v>
      </c>
      <c r="H29" s="111">
        <f t="shared" si="1"/>
        <v>105.32760638575438</v>
      </c>
      <c r="I29" s="110">
        <f t="shared" si="2"/>
        <v>-12057.89</v>
      </c>
      <c r="J29" s="110">
        <f t="shared" si="3"/>
        <v>56.31199275362319</v>
      </c>
      <c r="K29" s="142">
        <f>F29-10825.45</f>
        <v>4716.66</v>
      </c>
      <c r="L29" s="142">
        <f>F29/10825.45*100</f>
        <v>143.5701056307128</v>
      </c>
      <c r="M29" s="111">
        <f>E29-квітень!E29</f>
        <v>3500</v>
      </c>
      <c r="N29" s="179">
        <f>F29-квітень!F29</f>
        <v>3057.3500000000004</v>
      </c>
      <c r="O29" s="112">
        <f t="shared" si="4"/>
        <v>-442.64999999999964</v>
      </c>
      <c r="P29" s="110">
        <f>N29/M29*100</f>
        <v>87.35285714285716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41336.08</v>
      </c>
      <c r="F30" s="171">
        <v>46042.43</v>
      </c>
      <c r="G30" s="109">
        <f t="shared" si="6"/>
        <v>4706.3499999999985</v>
      </c>
      <c r="H30" s="111">
        <f t="shared" si="1"/>
        <v>111.38557405540148</v>
      </c>
      <c r="I30" s="110">
        <f t="shared" si="2"/>
        <v>-35769.57</v>
      </c>
      <c r="J30" s="110">
        <f t="shared" si="3"/>
        <v>56.278333251845694</v>
      </c>
      <c r="K30" s="142">
        <f>F30-31903.08</f>
        <v>14139.349999999999</v>
      </c>
      <c r="L30" s="142">
        <f>F30/31903.08*100</f>
        <v>144.31970204757658</v>
      </c>
      <c r="M30" s="111">
        <f>E30-квітень!E30</f>
        <v>7100</v>
      </c>
      <c r="N30" s="179">
        <f>F30-квітень!F30</f>
        <v>6720.82</v>
      </c>
      <c r="O30" s="112">
        <f t="shared" si="4"/>
        <v>-379.1800000000003</v>
      </c>
      <c r="P30" s="110">
        <f>N30/M30*100</f>
        <v>94.6594366197183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9.99</v>
      </c>
      <c r="F31" s="171">
        <v>14.01</v>
      </c>
      <c r="G31" s="109">
        <f t="shared" si="6"/>
        <v>4.02</v>
      </c>
      <c r="H31" s="111">
        <f t="shared" si="1"/>
        <v>140.24024024024024</v>
      </c>
      <c r="I31" s="110">
        <f t="shared" si="2"/>
        <v>-36.99</v>
      </c>
      <c r="J31" s="110">
        <f t="shared" si="3"/>
        <v>27.47058823529412</v>
      </c>
      <c r="K31" s="142">
        <f>F31-6.96</f>
        <v>7.05</v>
      </c>
      <c r="L31" s="142">
        <f>F31/6.96*100</f>
        <v>201.29310344827584</v>
      </c>
      <c r="M31" s="111">
        <f>E31-квітень!E31</f>
        <v>6.800000000000001</v>
      </c>
      <c r="N31" s="179">
        <f>F31-квітень!F31</f>
        <v>0</v>
      </c>
      <c r="O31" s="112">
        <f t="shared" si="4"/>
        <v>-6.800000000000001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F32-4020.62</f>
        <v>-4020.62</v>
      </c>
      <c r="L32" s="132">
        <f>F32/2014.1*100</f>
        <v>0</v>
      </c>
      <c r="M32" s="32">
        <v>0</v>
      </c>
      <c r="N32" s="178">
        <f>F32-квітень!F32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17807.03</v>
      </c>
      <c r="F33" s="15">
        <f>F34+F35+F36+F37+F38+F40+F42+F43+F44+F45+F46+F51+F52+F56+F39</f>
        <v>21754.7</v>
      </c>
      <c r="G33" s="191">
        <f>G34+G35+G36+G37+G38+G40+G42+G43+G44+G45+G46+G51+G52+G56</f>
        <v>3940.8700000000003</v>
      </c>
      <c r="H33" s="192">
        <f>F33/E33*100</f>
        <v>122.1691657732929</v>
      </c>
      <c r="I33" s="193">
        <f>F33-D33</f>
        <v>-21065.3</v>
      </c>
      <c r="J33" s="193">
        <f>F33/D33*100</f>
        <v>50.80499766464269</v>
      </c>
      <c r="K33" s="191">
        <f>F33-12995.52</f>
        <v>8759.18</v>
      </c>
      <c r="L33" s="191">
        <f>F33/12995.52*100</f>
        <v>167.40153529831818</v>
      </c>
      <c r="M33" s="191">
        <f>M34+M35+M36+M37+M38+M40+M42+M43+M44+M45+M46+M51+M52+M56</f>
        <v>3561</v>
      </c>
      <c r="N33" s="191">
        <f>N34+N35+N36+N37+N38+N40+N42+N43+N44+N45+N46+N51+N52+N56+N39</f>
        <v>4994.056</v>
      </c>
      <c r="O33" s="191">
        <f>O34+O35+O36+O37+O38+O40+O42+O43+O44+O45+O46+O51+O52+O56</f>
        <v>1433.0559999999996</v>
      </c>
      <c r="P33" s="191">
        <f>N33/M33*100</f>
        <v>140.24307778713842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64</v>
      </c>
      <c r="F34" s="170">
        <v>178.06</v>
      </c>
      <c r="G34" s="202">
        <f>F34-E34</f>
        <v>114.06</v>
      </c>
      <c r="H34" s="204">
        <f aca="true" t="shared" si="7" ref="H34:H57">F34/E34*100</f>
        <v>278.21875</v>
      </c>
      <c r="I34" s="205">
        <f>F34-D34</f>
        <v>78.06</v>
      </c>
      <c r="J34" s="205">
        <f>F34/D34*100</f>
        <v>178.06</v>
      </c>
      <c r="K34" s="205">
        <f>F34-100.4</f>
        <v>77.66</v>
      </c>
      <c r="L34" s="205">
        <f>F34/100.4*100</f>
        <v>177.35059760956176</v>
      </c>
      <c r="M34" s="204">
        <f>E34-квітень!E34</f>
        <v>10</v>
      </c>
      <c r="N34" s="208">
        <f>F34-квітень!F34</f>
        <v>82.31400000000001</v>
      </c>
      <c r="O34" s="207">
        <f>N34-M34</f>
        <v>72.31400000000001</v>
      </c>
      <c r="P34" s="205">
        <f aca="true" t="shared" si="8" ref="P34:P57">N34/M34*100</f>
        <v>823.1400000000001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5537</v>
      </c>
      <c r="F35" s="170">
        <v>10098.73</v>
      </c>
      <c r="G35" s="202">
        <f aca="true" t="shared" si="9" ref="G35:G58">F35-E35</f>
        <v>4561.73</v>
      </c>
      <c r="H35" s="204">
        <f t="shared" si="7"/>
        <v>182.38631027632292</v>
      </c>
      <c r="I35" s="205">
        <f aca="true" t="shared" si="10" ref="I35:I58">F35-D35</f>
        <v>98.72999999999956</v>
      </c>
      <c r="J35" s="205">
        <f>F35/D35*100</f>
        <v>100.9873</v>
      </c>
      <c r="K35" s="205">
        <f>F35-0</f>
        <v>10098.73</v>
      </c>
      <c r="L35" s="205"/>
      <c r="M35" s="204">
        <f>E35-квітень!E35</f>
        <v>1000</v>
      </c>
      <c r="N35" s="208">
        <f>F35-квітень!F35</f>
        <v>3345.3199999999997</v>
      </c>
      <c r="O35" s="207">
        <f aca="true" t="shared" si="11" ref="O35:O58">N35-M35</f>
        <v>2345.3199999999997</v>
      </c>
      <c r="P35" s="205">
        <f t="shared" si="8"/>
        <v>334.532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91.44</v>
      </c>
      <c r="F36" s="170">
        <v>27.51</v>
      </c>
      <c r="G36" s="202">
        <f t="shared" si="9"/>
        <v>-63.92999999999999</v>
      </c>
      <c r="H36" s="204">
        <f t="shared" si="7"/>
        <v>30.085301837270347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F36-112.8</f>
        <v>-85.28999999999999</v>
      </c>
      <c r="L36" s="205">
        <f>F36/112.8*100</f>
        <v>24.388297872340427</v>
      </c>
      <c r="M36" s="204">
        <f>E36-квітень!E36</f>
        <v>20</v>
      </c>
      <c r="N36" s="208">
        <f>F36-квітень!F36</f>
        <v>0</v>
      </c>
      <c r="O36" s="207">
        <f t="shared" si="11"/>
        <v>-20</v>
      </c>
      <c r="P36" s="205">
        <f t="shared" si="8"/>
        <v>0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E37-квітень!E37</f>
        <v>0</v>
      </c>
      <c r="N37" s="208">
        <f>F37-квітень!F37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50</v>
      </c>
      <c r="F38" s="170">
        <v>43.56</v>
      </c>
      <c r="G38" s="202">
        <f t="shared" si="9"/>
        <v>-6.439999999999998</v>
      </c>
      <c r="H38" s="204">
        <f t="shared" si="7"/>
        <v>87.12</v>
      </c>
      <c r="I38" s="205">
        <f t="shared" si="10"/>
        <v>-106.44</v>
      </c>
      <c r="J38" s="205">
        <f t="shared" si="12"/>
        <v>29.04</v>
      </c>
      <c r="K38" s="205">
        <f>F38-65.18</f>
        <v>-21.620000000000005</v>
      </c>
      <c r="L38" s="205">
        <f>F38/65.18*100</f>
        <v>66.83031604786744</v>
      </c>
      <c r="M38" s="204">
        <f>E38-квітень!E38</f>
        <v>10</v>
      </c>
      <c r="N38" s="208">
        <f>F38-квітень!F38</f>
        <v>9.36</v>
      </c>
      <c r="O38" s="207">
        <f t="shared" si="11"/>
        <v>-0.6400000000000006</v>
      </c>
      <c r="P38" s="205">
        <f t="shared" si="8"/>
        <v>93.6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>
        <f>F39-2</f>
        <v>4.8</v>
      </c>
      <c r="L39" s="205">
        <f>F39/2*100</f>
        <v>340</v>
      </c>
      <c r="M39" s="204">
        <f>E39-квітень!E39</f>
        <v>0</v>
      </c>
      <c r="N39" s="208">
        <f>F39-квітень!F39</f>
        <v>0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32</v>
      </c>
      <c r="F40" s="170">
        <v>27.51</v>
      </c>
      <c r="G40" s="202">
        <f t="shared" si="9"/>
        <v>-4.489999999999998</v>
      </c>
      <c r="H40" s="204">
        <f t="shared" si="7"/>
        <v>85.96875</v>
      </c>
      <c r="I40" s="205">
        <f t="shared" si="10"/>
        <v>-62.489999999999995</v>
      </c>
      <c r="J40" s="205">
        <f t="shared" si="12"/>
        <v>30.56666666666667</v>
      </c>
      <c r="K40" s="205">
        <f>F40-0</f>
        <v>27.51</v>
      </c>
      <c r="L40" s="205"/>
      <c r="M40" s="204">
        <f>E40-квітень!E40</f>
        <v>8</v>
      </c>
      <c r="N40" s="208">
        <f>F40-квітень!F40</f>
        <v>27.51</v>
      </c>
      <c r="O40" s="207">
        <f t="shared" si="11"/>
        <v>19.51</v>
      </c>
      <c r="P40" s="205">
        <f t="shared" si="8"/>
        <v>343.875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E41-квітень!E41</f>
        <v>0</v>
      </c>
      <c r="N41" s="208">
        <f>F41-квітень!F41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3739.02</v>
      </c>
      <c r="F42" s="170">
        <v>3560.02</v>
      </c>
      <c r="G42" s="202">
        <f t="shared" si="9"/>
        <v>-179</v>
      </c>
      <c r="H42" s="204">
        <f t="shared" si="7"/>
        <v>95.21264930382827</v>
      </c>
      <c r="I42" s="205">
        <f t="shared" si="10"/>
        <v>-6339.98</v>
      </c>
      <c r="J42" s="205">
        <f t="shared" si="12"/>
        <v>35.95979797979798</v>
      </c>
      <c r="K42" s="205">
        <f>F42-4115.54</f>
        <v>-555.52</v>
      </c>
      <c r="L42" s="205">
        <f>F42/4115.54*100</f>
        <v>86.50189282572882</v>
      </c>
      <c r="M42" s="204">
        <f>E42-квітень!E42</f>
        <v>800</v>
      </c>
      <c r="N42" s="208">
        <f>F42-квітень!F42</f>
        <v>358.6100000000001</v>
      </c>
      <c r="O42" s="207">
        <f t="shared" si="11"/>
        <v>-441.3899999999999</v>
      </c>
      <c r="P42" s="205">
        <f t="shared" si="8"/>
        <v>44.826250000000016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520</v>
      </c>
      <c r="F43" s="170">
        <v>16.59</v>
      </c>
      <c r="G43" s="202">
        <f t="shared" si="9"/>
        <v>-503.41</v>
      </c>
      <c r="H43" s="204">
        <f t="shared" si="7"/>
        <v>3.190384615384615</v>
      </c>
      <c r="I43" s="205">
        <f t="shared" si="10"/>
        <v>-1483.41</v>
      </c>
      <c r="J43" s="205">
        <f t="shared" si="12"/>
        <v>1.106</v>
      </c>
      <c r="K43" s="205">
        <f>F43-0</f>
        <v>16.59</v>
      </c>
      <c r="L43" s="205"/>
      <c r="M43" s="204">
        <f>E43-квітень!E43</f>
        <v>130</v>
      </c>
      <c r="N43" s="208">
        <f>F43-квітень!F43</f>
        <v>15.219999999999999</v>
      </c>
      <c r="O43" s="207">
        <f t="shared" si="11"/>
        <v>-114.78</v>
      </c>
      <c r="P43" s="205">
        <f t="shared" si="8"/>
        <v>11.707692307692307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16</v>
      </c>
      <c r="F44" s="170">
        <v>0</v>
      </c>
      <c r="G44" s="202">
        <f t="shared" si="9"/>
        <v>-16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E44-квітень!E44</f>
        <v>4</v>
      </c>
      <c r="N44" s="208">
        <f>F44-квітень!F44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3316.23</v>
      </c>
      <c r="F45" s="170">
        <v>3304.24</v>
      </c>
      <c r="G45" s="202">
        <f t="shared" si="9"/>
        <v>-11.990000000000236</v>
      </c>
      <c r="H45" s="204">
        <f t="shared" si="7"/>
        <v>99.63844486057963</v>
      </c>
      <c r="I45" s="205">
        <f t="shared" si="10"/>
        <v>-5195.76</v>
      </c>
      <c r="J45" s="205">
        <f t="shared" si="12"/>
        <v>38.87341176470588</v>
      </c>
      <c r="K45" s="205">
        <f>F45-3403.14</f>
        <v>-98.90000000000009</v>
      </c>
      <c r="L45" s="205">
        <f>F45/3403.14*100</f>
        <v>97.09386037600568</v>
      </c>
      <c r="M45" s="204">
        <f>E45-квітень!E45</f>
        <v>650</v>
      </c>
      <c r="N45" s="208">
        <f>F45-квітень!F45</f>
        <v>672.8919999999998</v>
      </c>
      <c r="O45" s="207">
        <f t="shared" si="11"/>
        <v>22.891999999999825</v>
      </c>
      <c r="P45" s="205">
        <f t="shared" si="8"/>
        <v>103.52184615384613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2553.19</v>
      </c>
      <c r="F46" s="170">
        <v>2295.33</v>
      </c>
      <c r="G46" s="202">
        <f t="shared" si="9"/>
        <v>-257.8600000000001</v>
      </c>
      <c r="H46" s="204">
        <f t="shared" si="7"/>
        <v>89.90047744194517</v>
      </c>
      <c r="I46" s="205">
        <f t="shared" si="10"/>
        <v>-5004.67</v>
      </c>
      <c r="J46" s="205">
        <f t="shared" si="12"/>
        <v>31.442876712328765</v>
      </c>
      <c r="K46" s="205">
        <f>F46-3368.6</f>
        <v>-1073.27</v>
      </c>
      <c r="L46" s="205">
        <f>F46/3368.6*100</f>
        <v>68.13898949118328</v>
      </c>
      <c r="M46" s="204">
        <f>E46-квітень!E46</f>
        <v>539</v>
      </c>
      <c r="N46" s="208">
        <f>F46-квітень!F46</f>
        <v>296.5899999999999</v>
      </c>
      <c r="O46" s="207">
        <f t="shared" si="11"/>
        <v>-242.41000000000008</v>
      </c>
      <c r="P46" s="205">
        <f t="shared" si="8"/>
        <v>55.02597402597401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366.99</v>
      </c>
      <c r="F47" s="171">
        <v>328.21</v>
      </c>
      <c r="G47" s="36">
        <f t="shared" si="9"/>
        <v>-38.78000000000003</v>
      </c>
      <c r="H47" s="32">
        <f t="shared" si="7"/>
        <v>89.43295457641896</v>
      </c>
      <c r="I47" s="110">
        <f t="shared" si="10"/>
        <v>-771.79</v>
      </c>
      <c r="J47" s="110">
        <f t="shared" si="12"/>
        <v>29.837272727272723</v>
      </c>
      <c r="K47" s="110">
        <f>F47-397.7</f>
        <v>-69.49000000000001</v>
      </c>
      <c r="L47" s="110">
        <f>F47/397.7*100</f>
        <v>82.52703042494343</v>
      </c>
      <c r="M47" s="111">
        <f>E47-квітень!E47</f>
        <v>78</v>
      </c>
      <c r="N47" s="179">
        <f>F47-квітень!F47</f>
        <v>92.78999999999999</v>
      </c>
      <c r="O47" s="112">
        <f t="shared" si="11"/>
        <v>14.789999999999992</v>
      </c>
      <c r="P47" s="132">
        <f t="shared" si="8"/>
        <v>118.96153846153845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4.04</v>
      </c>
      <c r="F48" s="171">
        <v>0.22</v>
      </c>
      <c r="G48" s="36">
        <f t="shared" si="9"/>
        <v>-3.82</v>
      </c>
      <c r="H48" s="32">
        <f t="shared" si="7"/>
        <v>5.445544554455446</v>
      </c>
      <c r="I48" s="110">
        <f t="shared" si="10"/>
        <v>-44.78</v>
      </c>
      <c r="J48" s="110">
        <f t="shared" si="12"/>
        <v>0.4888888888888889</v>
      </c>
      <c r="K48" s="110">
        <f>F48-44.74</f>
        <v>-44.52</v>
      </c>
      <c r="L48" s="110">
        <f>F48/44.74*100</f>
        <v>0.4917299955297273</v>
      </c>
      <c r="M48" s="111">
        <f>E48-квітень!E48</f>
        <v>1</v>
      </c>
      <c r="N48" s="179">
        <f>F48-квітень!F48</f>
        <v>0.07</v>
      </c>
      <c r="O48" s="112">
        <f t="shared" si="11"/>
        <v>-0.9299999999999999</v>
      </c>
      <c r="P48" s="132">
        <f t="shared" si="8"/>
        <v>7.000000000000001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E49-квітень!E49</f>
        <v>0</v>
      </c>
      <c r="N49" s="179">
        <f>F49-квітень!F49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2182.17</v>
      </c>
      <c r="F50" s="171">
        <v>1966.89</v>
      </c>
      <c r="G50" s="36">
        <f t="shared" si="9"/>
        <v>-215.27999999999997</v>
      </c>
      <c r="H50" s="32">
        <f t="shared" si="7"/>
        <v>90.13459079723395</v>
      </c>
      <c r="I50" s="110">
        <f t="shared" si="10"/>
        <v>-4187.11</v>
      </c>
      <c r="J50" s="110">
        <f t="shared" si="12"/>
        <v>31.961163470913228</v>
      </c>
      <c r="K50" s="110">
        <f>F50-2925.43</f>
        <v>-958.5399999999997</v>
      </c>
      <c r="L50" s="110">
        <f>F50/2925.43*100</f>
        <v>67.23421855932291</v>
      </c>
      <c r="M50" s="111">
        <f>E50-квітень!E50</f>
        <v>460</v>
      </c>
      <c r="N50" s="179">
        <f>F50-квітень!F50</f>
        <v>203.73000000000002</v>
      </c>
      <c r="O50" s="112">
        <f t="shared" si="11"/>
        <v>-256.27</v>
      </c>
      <c r="P50" s="132">
        <f t="shared" si="8"/>
        <v>44.289130434782614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E51-квітень!E51</f>
        <v>0</v>
      </c>
      <c r="N51" s="208">
        <f>F51-квітень!F51</f>
        <v>0</v>
      </c>
      <c r="O51" s="207">
        <f t="shared" si="11"/>
        <v>0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1867.98</v>
      </c>
      <c r="F52" s="170">
        <v>2160.7</v>
      </c>
      <c r="G52" s="202">
        <f t="shared" si="9"/>
        <v>292.7199999999998</v>
      </c>
      <c r="H52" s="204">
        <f t="shared" si="7"/>
        <v>115.67040332337604</v>
      </c>
      <c r="I52" s="205">
        <f t="shared" si="10"/>
        <v>-2639.3</v>
      </c>
      <c r="J52" s="205">
        <f t="shared" si="12"/>
        <v>45.01458333333333</v>
      </c>
      <c r="K52" s="205">
        <f>F52-1827.87</f>
        <v>332.8299999999999</v>
      </c>
      <c r="L52" s="205">
        <f>F52/1827.87*100</f>
        <v>118.20862533987646</v>
      </c>
      <c r="M52" s="204">
        <f>E52-квітень!E52</f>
        <v>390</v>
      </c>
      <c r="N52" s="208">
        <f>F52-квітень!F52</f>
        <v>186.23999999999978</v>
      </c>
      <c r="O52" s="207">
        <f t="shared" si="11"/>
        <v>-203.76000000000022</v>
      </c>
      <c r="P52" s="205">
        <f t="shared" si="8"/>
        <v>47.7538461538461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E53-квітень!E53</f>
        <v>0</v>
      </c>
      <c r="N53" s="208">
        <f>F53-квітень!F53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457.7</v>
      </c>
      <c r="G54" s="202"/>
      <c r="H54" s="204"/>
      <c r="I54" s="205"/>
      <c r="J54" s="205"/>
      <c r="K54" s="206">
        <f>F54-430.9</f>
        <v>26.80000000000001</v>
      </c>
      <c r="L54" s="206">
        <f>F54/430.9*100</f>
        <v>106.21954049663496</v>
      </c>
      <c r="M54" s="236"/>
      <c r="N54" s="220">
        <f>F54-квітень!F54</f>
        <v>70.33999999999997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E55-квітень!E55</f>
        <v>0</v>
      </c>
      <c r="N55" s="208">
        <f>F55-квітень!F55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E56-квітень!E56</f>
        <v>0</v>
      </c>
      <c r="N56" s="208">
        <f>F56-квітень!F56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9.9</v>
      </c>
      <c r="F57" s="170">
        <v>13.52</v>
      </c>
      <c r="G57" s="202">
        <f t="shared" si="9"/>
        <v>3.619999999999999</v>
      </c>
      <c r="H57" s="204">
        <f t="shared" si="7"/>
        <v>136.56565656565655</v>
      </c>
      <c r="I57" s="205">
        <f t="shared" si="10"/>
        <v>-16.48</v>
      </c>
      <c r="J57" s="205">
        <f t="shared" si="12"/>
        <v>45.06666666666666</v>
      </c>
      <c r="K57" s="205">
        <f>F57-6.52</f>
        <v>7</v>
      </c>
      <c r="L57" s="205">
        <f>F57/6.52*100</f>
        <v>207.36196319018404</v>
      </c>
      <c r="M57" s="204">
        <f>E57-квітень!E57</f>
        <v>2.3000000000000007</v>
      </c>
      <c r="N57" s="208">
        <f>F57-квітень!F57</f>
        <v>0.009999999999999787</v>
      </c>
      <c r="O57" s="207">
        <f t="shared" si="11"/>
        <v>-2.290000000000001</v>
      </c>
      <c r="P57" s="205">
        <f t="shared" si="8"/>
        <v>0.43478260869564284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0.37</v>
      </c>
      <c r="G58" s="202">
        <f t="shared" si="9"/>
        <v>0.37</v>
      </c>
      <c r="H58" s="204"/>
      <c r="I58" s="205">
        <f t="shared" si="10"/>
        <v>-0.22999999999999998</v>
      </c>
      <c r="J58" s="205"/>
      <c r="K58" s="205">
        <f>F58-0.02</f>
        <v>0.35</v>
      </c>
      <c r="L58" s="205"/>
      <c r="M58" s="204">
        <f>E58-квітень!E58</f>
        <v>0</v>
      </c>
      <c r="N58" s="208">
        <f>F58-квітень!F58</f>
        <v>0.010000000000000009</v>
      </c>
      <c r="O58" s="207">
        <f t="shared" si="11"/>
        <v>0.010000000000000009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355253.41000000003</v>
      </c>
      <c r="F59" s="191">
        <f>F8+F33+F57+F58</f>
        <v>344772.57</v>
      </c>
      <c r="G59" s="191">
        <f>F59-E59</f>
        <v>-10480.840000000026</v>
      </c>
      <c r="H59" s="192">
        <f>F59/E59*100</f>
        <v>97.04975667932362</v>
      </c>
      <c r="I59" s="193">
        <f>F59-D59</f>
        <v>-539128.03</v>
      </c>
      <c r="J59" s="193">
        <f>F59/D59*100</f>
        <v>39.00580789287845</v>
      </c>
      <c r="K59" s="193">
        <f>F59-265734.15</f>
        <v>79038.41999999998</v>
      </c>
      <c r="L59" s="193">
        <f>F59/265734.15*100</f>
        <v>129.74341837509405</v>
      </c>
      <c r="M59" s="191">
        <f>M8+M33+M57+M58</f>
        <v>69325.1</v>
      </c>
      <c r="N59" s="191">
        <f>N8+N33+N57+N58</f>
        <v>33867.42600000003</v>
      </c>
      <c r="O59" s="195">
        <f>N59-M59</f>
        <v>-35457.67399999998</v>
      </c>
      <c r="P59" s="193">
        <f>N59/M59*100</f>
        <v>48.853050338189234</v>
      </c>
      <c r="Q59" s="28">
        <f>N59-34768</f>
        <v>-900.5739999999714</v>
      </c>
      <c r="R59" s="128">
        <f>N59/34768</f>
        <v>0.9740976184997707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0.01</v>
      </c>
      <c r="G64" s="202"/>
      <c r="H64" s="204"/>
      <c r="I64" s="207"/>
      <c r="J64" s="207"/>
      <c r="K64" s="207">
        <f>F64-0</f>
        <v>0.01</v>
      </c>
      <c r="L64" s="207"/>
      <c r="M64" s="202"/>
      <c r="N64" s="223">
        <f>F64-квітень!F64</f>
        <v>-4.49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F65-(-19.39)</f>
        <v>19.12</v>
      </c>
      <c r="L65" s="207">
        <f>F65/(-19.39)*100</f>
        <v>1.3924703455389378</v>
      </c>
      <c r="M65" s="204"/>
      <c r="N65" s="223">
        <f>F65-квітень!F65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-0.26</v>
      </c>
      <c r="G66" s="226">
        <f>F66-E66</f>
        <v>-0.26</v>
      </c>
      <c r="H66" s="227"/>
      <c r="I66" s="228">
        <f>F66-D66</f>
        <v>-0.26</v>
      </c>
      <c r="J66" s="228"/>
      <c r="K66" s="228">
        <f>F66-(-19.39)</f>
        <v>19.13</v>
      </c>
      <c r="L66" s="228">
        <f>F66/(-19.39)*100</f>
        <v>1.3408973697782363</v>
      </c>
      <c r="M66" s="226">
        <f>M65</f>
        <v>0</v>
      </c>
      <c r="N66" s="229">
        <f>SUM(N64:N65)</f>
        <v>-4.49</v>
      </c>
      <c r="O66" s="228">
        <f>N66-M66</f>
        <v>-4.49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913</v>
      </c>
      <c r="F68" s="222">
        <v>1041.94</v>
      </c>
      <c r="G68" s="202">
        <f aca="true" t="shared" si="13" ref="G68:G78">F68-E68</f>
        <v>128.94000000000005</v>
      </c>
      <c r="H68" s="204"/>
      <c r="I68" s="207">
        <f aca="true" t="shared" si="14" ref="I68:I78">F68-D68</f>
        <v>-3158.06</v>
      </c>
      <c r="J68" s="207">
        <f>F68/D68*100</f>
        <v>24.80809523809524</v>
      </c>
      <c r="K68" s="207">
        <f>F68-193.96</f>
        <v>847.98</v>
      </c>
      <c r="L68" s="207">
        <f>F68/193.96*100</f>
        <v>537.193235718705</v>
      </c>
      <c r="M68" s="204">
        <f>E68-квітень!E68</f>
        <v>546.4</v>
      </c>
      <c r="N68" s="208">
        <f>F68-квітень!F68</f>
        <v>741.0600000000001</v>
      </c>
      <c r="O68" s="207">
        <f aca="true" t="shared" si="15" ref="O68:O81">N68-M68</f>
        <v>194.66000000000008</v>
      </c>
      <c r="P68" s="207">
        <f>N68/M68*100</f>
        <v>135.6259150805271</v>
      </c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1951.11</v>
      </c>
      <c r="F69" s="222">
        <v>573.34</v>
      </c>
      <c r="G69" s="202">
        <f t="shared" si="13"/>
        <v>-1377.77</v>
      </c>
      <c r="H69" s="204">
        <f>F69/E69*100</f>
        <v>29.38532425132361</v>
      </c>
      <c r="I69" s="207">
        <f t="shared" si="14"/>
        <v>-6885.66</v>
      </c>
      <c r="J69" s="207">
        <f>F69/D69*100</f>
        <v>7.686553157259687</v>
      </c>
      <c r="K69" s="207">
        <f>F69-2467.51</f>
        <v>-1894.17</v>
      </c>
      <c r="L69" s="207">
        <f>F69/2467.51*100</f>
        <v>23.235569460711407</v>
      </c>
      <c r="M69" s="204">
        <f>E69-квітень!E69</f>
        <v>317.0999999999999</v>
      </c>
      <c r="N69" s="208">
        <f>F69-квітень!F69</f>
        <v>101.08000000000004</v>
      </c>
      <c r="O69" s="207">
        <f t="shared" si="15"/>
        <v>-216.01999999999987</v>
      </c>
      <c r="P69" s="207">
        <f>N69/M69*100</f>
        <v>31.876379690949246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1490.85</v>
      </c>
      <c r="F70" s="222">
        <v>9080.76</v>
      </c>
      <c r="G70" s="202">
        <f t="shared" si="13"/>
        <v>7589.91</v>
      </c>
      <c r="H70" s="204">
        <f>F70/E70*100</f>
        <v>609.0995069926552</v>
      </c>
      <c r="I70" s="207">
        <f t="shared" si="14"/>
        <v>3080.76</v>
      </c>
      <c r="J70" s="207">
        <f>F70/D70*100</f>
        <v>151.346</v>
      </c>
      <c r="K70" s="207">
        <f>F70-1668.2</f>
        <v>7412.56</v>
      </c>
      <c r="L70" s="207">
        <f>F70/1668.2*100</f>
        <v>544.344802781441</v>
      </c>
      <c r="M70" s="204">
        <f>E70-квітень!E70</f>
        <v>302</v>
      </c>
      <c r="N70" s="208">
        <f>F70-квітень!F70</f>
        <v>270.6800000000003</v>
      </c>
      <c r="O70" s="207">
        <f t="shared" si="15"/>
        <v>-31.31999999999971</v>
      </c>
      <c r="P70" s="207">
        <f>N70/M70*100</f>
        <v>89.62913907284778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5</v>
      </c>
      <c r="F71" s="222">
        <v>5</v>
      </c>
      <c r="G71" s="202">
        <f t="shared" si="13"/>
        <v>0</v>
      </c>
      <c r="H71" s="204">
        <f>F71/E71*100</f>
        <v>100</v>
      </c>
      <c r="I71" s="207">
        <f t="shared" si="14"/>
        <v>-7</v>
      </c>
      <c r="J71" s="207">
        <f>F71/D71*100</f>
        <v>41.66666666666667</v>
      </c>
      <c r="K71" s="207">
        <f>F71-0</f>
        <v>5</v>
      </c>
      <c r="L71" s="207"/>
      <c r="M71" s="204">
        <f>E71-квітень!E71</f>
        <v>1</v>
      </c>
      <c r="N71" s="208">
        <f>F71-квітень!F71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4359.959999999999</v>
      </c>
      <c r="F72" s="225">
        <f>F68+F69+F70+F71</f>
        <v>10701.04</v>
      </c>
      <c r="G72" s="226">
        <f t="shared" si="13"/>
        <v>6341.080000000002</v>
      </c>
      <c r="H72" s="227">
        <f>F72/E72*100</f>
        <v>245.43894898118336</v>
      </c>
      <c r="I72" s="228">
        <f t="shared" si="14"/>
        <v>-6969.959999999999</v>
      </c>
      <c r="J72" s="228">
        <f>F72/D72*100</f>
        <v>60.55707090713599</v>
      </c>
      <c r="K72" s="228">
        <f>F72-4329.67</f>
        <v>6371.370000000001</v>
      </c>
      <c r="L72" s="228">
        <f>F72/4329.67*100</f>
        <v>247.1560188189862</v>
      </c>
      <c r="M72" s="226">
        <f>M68+M69+M70+M71</f>
        <v>1166.5</v>
      </c>
      <c r="N72" s="230">
        <f>N68+N69+N70+N71</f>
        <v>1113.8200000000004</v>
      </c>
      <c r="O72" s="228">
        <f t="shared" si="15"/>
        <v>-52.67999999999961</v>
      </c>
      <c r="P72" s="228">
        <f>N72/M72*100</f>
        <v>95.48392627518221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E73-квітень!E73</f>
        <v>0</v>
      </c>
      <c r="N73" s="208">
        <f>F73-квітень!F73</f>
        <v>0</v>
      </c>
      <c r="O73" s="207">
        <f t="shared" si="15"/>
        <v>0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5117</v>
      </c>
      <c r="F75" s="222">
        <v>2044.96</v>
      </c>
      <c r="G75" s="202">
        <f t="shared" si="13"/>
        <v>-3072.04</v>
      </c>
      <c r="H75" s="204">
        <f>F75/E75*100</f>
        <v>39.9640414305257</v>
      </c>
      <c r="I75" s="207">
        <f t="shared" si="14"/>
        <v>-7455.04</v>
      </c>
      <c r="J75" s="207">
        <f>F75/D75*100</f>
        <v>21.525894736842105</v>
      </c>
      <c r="K75" s="207">
        <f>F75-0</f>
        <v>2044.96</v>
      </c>
      <c r="L75" s="207"/>
      <c r="M75" s="204">
        <f>E75-квітень!E75</f>
        <v>3096.3</v>
      </c>
      <c r="N75" s="208">
        <f>F75-квітень!F75</f>
        <v>9.430000000000064</v>
      </c>
      <c r="O75" s="207">
        <f>N75-M75</f>
        <v>-3086.87</v>
      </c>
      <c r="P75" s="231">
        <f>N75/M75*100</f>
        <v>0.3045570519652509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F76-0.95</f>
        <v>-0.42999999999999994</v>
      </c>
      <c r="L76" s="207">
        <f>F76/0.95*100</f>
        <v>54.736842105263165</v>
      </c>
      <c r="M76" s="204">
        <f>E76-квітень!E76</f>
        <v>0</v>
      </c>
      <c r="N76" s="208">
        <f>F76-квітень!F76</f>
        <v>0</v>
      </c>
      <c r="O76" s="207">
        <f t="shared" si="15"/>
        <v>0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5117</v>
      </c>
      <c r="F77" s="225">
        <f>F73+F76+F74+F75</f>
        <v>2048.54</v>
      </c>
      <c r="G77" s="224">
        <f>G73+G76+G74+G75</f>
        <v>-3068.46</v>
      </c>
      <c r="H77" s="227">
        <f>F77/E77*100</f>
        <v>40.03400429939418</v>
      </c>
      <c r="I77" s="228">
        <f t="shared" si="14"/>
        <v>-7452.46</v>
      </c>
      <c r="J77" s="228">
        <f>F77/D77*100</f>
        <v>21.561309335859384</v>
      </c>
      <c r="K77" s="228">
        <f>F77-0.95</f>
        <v>2047.59</v>
      </c>
      <c r="L77" s="228">
        <f>F77/0.95*100</f>
        <v>215635.78947368424</v>
      </c>
      <c r="M77" s="226">
        <f>M73+M76+M74+M75</f>
        <v>3096.3</v>
      </c>
      <c r="N77" s="230">
        <f>N73+N76+N74+N75</f>
        <v>9.430000000000064</v>
      </c>
      <c r="O77" s="226">
        <f>O73+O76+O74+O75</f>
        <v>-3086.87</v>
      </c>
      <c r="P77" s="228">
        <f>N77/M77*100</f>
        <v>0.3045570519652509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13.8</v>
      </c>
      <c r="F78" s="222">
        <v>9.19</v>
      </c>
      <c r="G78" s="202">
        <f t="shared" si="13"/>
        <v>-4.610000000000001</v>
      </c>
      <c r="H78" s="204">
        <f>F78/E78*100</f>
        <v>66.59420289855072</v>
      </c>
      <c r="I78" s="207">
        <f t="shared" si="14"/>
        <v>-33.81</v>
      </c>
      <c r="J78" s="207">
        <f>F78/D78*100</f>
        <v>21.37209302325581</v>
      </c>
      <c r="K78" s="207">
        <f>F78-14.05</f>
        <v>-4.860000000000001</v>
      </c>
      <c r="L78" s="207">
        <f>F78/14.05*100</f>
        <v>65.40925266903915</v>
      </c>
      <c r="M78" s="204">
        <f>E78-квітень!E78</f>
        <v>0.6600000000000001</v>
      </c>
      <c r="N78" s="208">
        <f>F78-квітень!F78</f>
        <v>0</v>
      </c>
      <c r="O78" s="207">
        <f t="shared" si="15"/>
        <v>-0.6600000000000001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9490.759999999998</v>
      </c>
      <c r="F80" s="232">
        <f>F66+F78+F72+F77+F79</f>
        <v>12758.510000000002</v>
      </c>
      <c r="G80" s="233">
        <f>F80-E80</f>
        <v>3267.7500000000036</v>
      </c>
      <c r="H80" s="234">
        <f>F80/E80*100</f>
        <v>134.43085695982202</v>
      </c>
      <c r="I80" s="235">
        <f>F80-D80</f>
        <v>-14456.489999999998</v>
      </c>
      <c r="J80" s="235">
        <f>F80/D80*100</f>
        <v>46.88043358442036</v>
      </c>
      <c r="K80" s="235">
        <f>F80-4325.48</f>
        <v>8433.030000000002</v>
      </c>
      <c r="L80" s="235">
        <f>F80/4325.48*100</f>
        <v>294.96171523160444</v>
      </c>
      <c r="M80" s="232">
        <f>M66+M78+M72+M77</f>
        <v>4263.46</v>
      </c>
      <c r="N80" s="232">
        <f>N66+N78+N72+N77+N79</f>
        <v>1118.7600000000004</v>
      </c>
      <c r="O80" s="235">
        <f t="shared" si="15"/>
        <v>-3144.7</v>
      </c>
      <c r="P80" s="235">
        <f>N80/M80*100</f>
        <v>26.240658995276146</v>
      </c>
      <c r="Q80" s="28">
        <f>N80-8104.96</f>
        <v>-6986.2</v>
      </c>
      <c r="R80" s="101">
        <f>N80/8104.96</f>
        <v>0.13803399399873664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364744.17000000004</v>
      </c>
      <c r="F81" s="232">
        <f>F59+F80</f>
        <v>357531.08</v>
      </c>
      <c r="G81" s="233">
        <f>F81-E81</f>
        <v>-7213.090000000026</v>
      </c>
      <c r="H81" s="234">
        <f>F81/E81*100</f>
        <v>98.02242486836732</v>
      </c>
      <c r="I81" s="235">
        <f>F81-D81</f>
        <v>-553584.52</v>
      </c>
      <c r="J81" s="235">
        <f>F81/D81*100</f>
        <v>39.241022763741505</v>
      </c>
      <c r="K81" s="235">
        <f>F81-265734.15-4325.48</f>
        <v>87471.45</v>
      </c>
      <c r="L81" s="235">
        <f>F81/(265734.15+4325.48)*100</f>
        <v>132.3896800125217</v>
      </c>
      <c r="M81" s="233">
        <f>M59+M80</f>
        <v>73588.56000000001</v>
      </c>
      <c r="N81" s="233">
        <f>N59+N80</f>
        <v>34986.18600000003</v>
      </c>
      <c r="O81" s="235">
        <f t="shared" si="15"/>
        <v>-38602.37399999998</v>
      </c>
      <c r="P81" s="235">
        <f>N81/M81*100</f>
        <v>47.54296863534226</v>
      </c>
      <c r="Q81" s="28">
        <f>N81-42872.96</f>
        <v>-7886.7739999999685</v>
      </c>
      <c r="R81" s="101">
        <f>N81/42872.96</f>
        <v>0.8160431656689912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11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3223.424909090907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42506</v>
      </c>
      <c r="D85" s="31">
        <v>4253.84</v>
      </c>
      <c r="G85" s="4" t="s">
        <v>59</v>
      </c>
      <c r="N85" s="245"/>
      <c r="O85" s="245"/>
    </row>
    <row r="86" spans="3:15" ht="15">
      <c r="C86" s="87">
        <v>42503</v>
      </c>
      <c r="D86" s="31">
        <v>5847.2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42502</v>
      </c>
      <c r="D87" s="31">
        <v>2366.8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5387.00734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51" sqref="H5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156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153</v>
      </c>
      <c r="N3" s="270" t="s">
        <v>154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150</v>
      </c>
      <c r="F4" s="253" t="s">
        <v>34</v>
      </c>
      <c r="G4" s="247" t="s">
        <v>151</v>
      </c>
      <c r="H4" s="255" t="s">
        <v>152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157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155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52"/>
      <c r="H84" s="252"/>
      <c r="I84" s="252"/>
      <c r="J84" s="25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45"/>
      <c r="O85" s="245"/>
    </row>
    <row r="86" spans="3:15" ht="15">
      <c r="C86" s="87">
        <v>42488</v>
      </c>
      <c r="D86" s="31">
        <v>11419.7</v>
      </c>
      <c r="F86" s="124" t="s">
        <v>59</v>
      </c>
      <c r="G86" s="239"/>
      <c r="H86" s="239"/>
      <c r="I86" s="131"/>
      <c r="J86" s="242"/>
      <c r="K86" s="242"/>
      <c r="L86" s="242"/>
      <c r="M86" s="242"/>
      <c r="N86" s="245"/>
      <c r="O86" s="245"/>
    </row>
    <row r="87" spans="3:15" ht="15.75" customHeight="1">
      <c r="C87" s="87">
        <v>42487</v>
      </c>
      <c r="D87" s="31">
        <v>7800.7</v>
      </c>
      <c r="F87" s="73"/>
      <c r="G87" s="239"/>
      <c r="H87" s="239"/>
      <c r="I87" s="131"/>
      <c r="J87" s="246"/>
      <c r="K87" s="246"/>
      <c r="L87" s="246"/>
      <c r="M87" s="246"/>
      <c r="N87" s="245"/>
      <c r="O87" s="245"/>
    </row>
    <row r="88" spans="3:13" ht="15.75" customHeight="1">
      <c r="C88" s="87"/>
      <c r="F88" s="73"/>
      <c r="G88" s="241"/>
      <c r="H88" s="241"/>
      <c r="I88" s="139"/>
      <c r="J88" s="242"/>
      <c r="K88" s="242"/>
      <c r="L88" s="242"/>
      <c r="M88" s="242"/>
    </row>
    <row r="89" spans="2:13" ht="18.75" customHeight="1">
      <c r="B89" s="243" t="s">
        <v>57</v>
      </c>
      <c r="C89" s="244"/>
      <c r="D89" s="148">
        <v>9087.9705</v>
      </c>
      <c r="E89" s="74"/>
      <c r="F89" s="140" t="s">
        <v>137</v>
      </c>
      <c r="G89" s="239"/>
      <c r="H89" s="239"/>
      <c r="I89" s="141"/>
      <c r="J89" s="242"/>
      <c r="K89" s="242"/>
      <c r="L89" s="242"/>
      <c r="M89" s="242"/>
    </row>
    <row r="90" spans="6:12" ht="9.75" customHeight="1">
      <c r="F90" s="73"/>
      <c r="G90" s="239"/>
      <c r="H90" s="239"/>
      <c r="I90" s="73"/>
      <c r="J90" s="74"/>
      <c r="K90" s="74"/>
      <c r="L90" s="74"/>
    </row>
    <row r="91" spans="2:12" ht="22.5" customHeight="1" hidden="1">
      <c r="B91" s="237" t="s">
        <v>60</v>
      </c>
      <c r="C91" s="238"/>
      <c r="D91" s="86">
        <v>0</v>
      </c>
      <c r="E91" s="56" t="s">
        <v>24</v>
      </c>
      <c r="F91" s="73"/>
      <c r="G91" s="239"/>
      <c r="H91" s="2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39"/>
      <c r="O92" s="239"/>
    </row>
    <row r="93" spans="4:15" ht="15">
      <c r="D93" s="83"/>
      <c r="I93" s="31"/>
      <c r="N93" s="240"/>
      <c r="O93" s="240"/>
    </row>
    <row r="94" spans="14:15" ht="15">
      <c r="N94" s="239"/>
      <c r="O94" s="2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59" t="s">
        <v>148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69" t="s">
        <v>147</v>
      </c>
      <c r="N3" s="270" t="s">
        <v>143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146</v>
      </c>
      <c r="F4" s="253" t="s">
        <v>34</v>
      </c>
      <c r="G4" s="247" t="s">
        <v>141</v>
      </c>
      <c r="H4" s="255" t="s">
        <v>142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149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8.7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144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45"/>
      <c r="O84" s="245"/>
    </row>
    <row r="85" spans="3:15" ht="15">
      <c r="C85" s="87">
        <v>42459</v>
      </c>
      <c r="D85" s="31">
        <v>7576.3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42458</v>
      </c>
      <c r="D86" s="31">
        <v>9190.1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f>4343.7</f>
        <v>4343.7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139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/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128</v>
      </c>
      <c r="N3" s="270" t="s">
        <v>119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127</v>
      </c>
      <c r="F4" s="253" t="s">
        <v>34</v>
      </c>
      <c r="G4" s="247" t="s">
        <v>116</v>
      </c>
      <c r="H4" s="255" t="s">
        <v>117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57" t="s">
        <v>140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118</v>
      </c>
      <c r="L5" s="251"/>
      <c r="M5" s="256"/>
      <c r="N5" s="258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45"/>
      <c r="O84" s="245"/>
    </row>
    <row r="85" spans="3:15" ht="15">
      <c r="C85" s="87">
        <v>42426</v>
      </c>
      <c r="D85" s="31">
        <v>6256.2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42425</v>
      </c>
      <c r="D86" s="31">
        <v>3536.9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505.3</v>
      </c>
      <c r="E88" s="74"/>
      <c r="F88" s="140" t="s">
        <v>137</v>
      </c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135</v>
      </c>
      <c r="C3" s="264" t="s">
        <v>0</v>
      </c>
      <c r="D3" s="265" t="s">
        <v>121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132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129</v>
      </c>
      <c r="F4" s="253" t="s">
        <v>34</v>
      </c>
      <c r="G4" s="247" t="s">
        <v>130</v>
      </c>
      <c r="H4" s="255" t="s">
        <v>131</v>
      </c>
      <c r="I4" s="247" t="s">
        <v>122</v>
      </c>
      <c r="J4" s="255" t="s">
        <v>123</v>
      </c>
      <c r="K4" s="91" t="s">
        <v>65</v>
      </c>
      <c r="L4" s="96" t="s">
        <v>64</v>
      </c>
      <c r="M4" s="255"/>
      <c r="N4" s="274" t="s">
        <v>133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92.25" customHeight="1">
      <c r="A5" s="262"/>
      <c r="B5" s="263"/>
      <c r="C5" s="264"/>
      <c r="D5" s="265"/>
      <c r="E5" s="272"/>
      <c r="F5" s="254"/>
      <c r="G5" s="248"/>
      <c r="H5" s="256"/>
      <c r="I5" s="248"/>
      <c r="J5" s="256"/>
      <c r="K5" s="250" t="s">
        <v>134</v>
      </c>
      <c r="L5" s="251"/>
      <c r="M5" s="256"/>
      <c r="N5" s="275"/>
      <c r="O5" s="248"/>
      <c r="P5" s="249"/>
      <c r="Q5" s="250" t="s">
        <v>120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52"/>
      <c r="H83" s="252"/>
      <c r="I83" s="252"/>
      <c r="J83" s="25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45"/>
      <c r="O84" s="245"/>
    </row>
    <row r="85" spans="3:15" ht="15">
      <c r="C85" s="87">
        <v>42397</v>
      </c>
      <c r="D85" s="31">
        <v>8685</v>
      </c>
      <c r="F85" s="124" t="s">
        <v>59</v>
      </c>
      <c r="G85" s="239"/>
      <c r="H85" s="239"/>
      <c r="I85" s="131"/>
      <c r="J85" s="242"/>
      <c r="K85" s="242"/>
      <c r="L85" s="242"/>
      <c r="M85" s="242"/>
      <c r="N85" s="245"/>
      <c r="O85" s="245"/>
    </row>
    <row r="86" spans="3:15" ht="15.75" customHeight="1">
      <c r="C86" s="87">
        <v>42396</v>
      </c>
      <c r="D86" s="31">
        <v>4820.3</v>
      </c>
      <c r="F86" s="73"/>
      <c r="G86" s="239"/>
      <c r="H86" s="239"/>
      <c r="I86" s="131"/>
      <c r="J86" s="246"/>
      <c r="K86" s="246"/>
      <c r="L86" s="246"/>
      <c r="M86" s="246"/>
      <c r="N86" s="245"/>
      <c r="O86" s="245"/>
    </row>
    <row r="87" spans="3:13" ht="15.75" customHeight="1">
      <c r="C87" s="87"/>
      <c r="F87" s="73"/>
      <c r="G87" s="241"/>
      <c r="H87" s="241"/>
      <c r="I87" s="139"/>
      <c r="J87" s="242"/>
      <c r="K87" s="242"/>
      <c r="L87" s="242"/>
      <c r="M87" s="242"/>
    </row>
    <row r="88" spans="2:13" ht="18.75" customHeight="1">
      <c r="B88" s="243" t="s">
        <v>57</v>
      </c>
      <c r="C88" s="244"/>
      <c r="D88" s="148">
        <v>300.92</v>
      </c>
      <c r="E88" s="74"/>
      <c r="F88" s="140"/>
      <c r="G88" s="239"/>
      <c r="H88" s="239"/>
      <c r="I88" s="141"/>
      <c r="J88" s="242"/>
      <c r="K88" s="242"/>
      <c r="L88" s="242"/>
      <c r="M88" s="242"/>
    </row>
    <row r="89" spans="6:12" ht="9.75" customHeight="1">
      <c r="F89" s="73"/>
      <c r="G89" s="239"/>
      <c r="H89" s="239"/>
      <c r="I89" s="73"/>
      <c r="J89" s="74"/>
      <c r="K89" s="74"/>
      <c r="L89" s="74"/>
    </row>
    <row r="90" spans="2:12" ht="22.5" customHeight="1" hidden="1">
      <c r="B90" s="237" t="s">
        <v>60</v>
      </c>
      <c r="C90" s="238"/>
      <c r="D90" s="86">
        <v>0</v>
      </c>
      <c r="E90" s="56" t="s">
        <v>24</v>
      </c>
      <c r="F90" s="73"/>
      <c r="G90" s="239"/>
      <c r="H90" s="2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39"/>
      <c r="O91" s="239"/>
    </row>
    <row r="92" spans="4:15" ht="15">
      <c r="D92" s="83"/>
      <c r="I92" s="31"/>
      <c r="N92" s="240"/>
      <c r="O92" s="240"/>
    </row>
    <row r="93" spans="14:15" ht="15">
      <c r="N93" s="239"/>
      <c r="O93" s="2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59" t="s">
        <v>114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92"/>
      <c r="R1" s="93"/>
    </row>
    <row r="2" spans="2:18" s="1" customFormat="1" ht="15.75" customHeight="1">
      <c r="B2" s="260"/>
      <c r="C2" s="260"/>
      <c r="D2" s="26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1"/>
      <c r="B3" s="263" t="s">
        <v>136</v>
      </c>
      <c r="C3" s="264" t="s">
        <v>0</v>
      </c>
      <c r="D3" s="265" t="s">
        <v>115</v>
      </c>
      <c r="E3" s="34"/>
      <c r="F3" s="266" t="s">
        <v>26</v>
      </c>
      <c r="G3" s="267"/>
      <c r="H3" s="267"/>
      <c r="I3" s="267"/>
      <c r="J3" s="268"/>
      <c r="K3" s="89"/>
      <c r="L3" s="89"/>
      <c r="M3" s="273" t="s">
        <v>107</v>
      </c>
      <c r="N3" s="270" t="s">
        <v>66</v>
      </c>
      <c r="O3" s="270"/>
      <c r="P3" s="270"/>
      <c r="Q3" s="270"/>
      <c r="R3" s="270"/>
    </row>
    <row r="4" spans="1:18" ht="22.5" customHeight="1">
      <c r="A4" s="261"/>
      <c r="B4" s="263"/>
      <c r="C4" s="264"/>
      <c r="D4" s="265"/>
      <c r="E4" s="271" t="s">
        <v>104</v>
      </c>
      <c r="F4" s="276" t="s">
        <v>34</v>
      </c>
      <c r="G4" s="247" t="s">
        <v>109</v>
      </c>
      <c r="H4" s="255" t="s">
        <v>110</v>
      </c>
      <c r="I4" s="247" t="s">
        <v>105</v>
      </c>
      <c r="J4" s="255" t="s">
        <v>106</v>
      </c>
      <c r="K4" s="91" t="s">
        <v>65</v>
      </c>
      <c r="L4" s="96" t="s">
        <v>64</v>
      </c>
      <c r="M4" s="255"/>
      <c r="N4" s="274" t="s">
        <v>103</v>
      </c>
      <c r="O4" s="247" t="s">
        <v>50</v>
      </c>
      <c r="P4" s="249" t="s">
        <v>49</v>
      </c>
      <c r="Q4" s="97" t="s">
        <v>65</v>
      </c>
      <c r="R4" s="98" t="s">
        <v>64</v>
      </c>
    </row>
    <row r="5" spans="1:18" ht="76.5" customHeight="1">
      <c r="A5" s="262"/>
      <c r="B5" s="263"/>
      <c r="C5" s="264"/>
      <c r="D5" s="265"/>
      <c r="E5" s="272"/>
      <c r="F5" s="277"/>
      <c r="G5" s="248"/>
      <c r="H5" s="256"/>
      <c r="I5" s="248"/>
      <c r="J5" s="256"/>
      <c r="K5" s="250" t="s">
        <v>108</v>
      </c>
      <c r="L5" s="251"/>
      <c r="M5" s="256"/>
      <c r="N5" s="275"/>
      <c r="O5" s="248"/>
      <c r="P5" s="249"/>
      <c r="Q5" s="250" t="s">
        <v>126</v>
      </c>
      <c r="R5" s="25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52"/>
      <c r="H82" s="252"/>
      <c r="I82" s="252"/>
      <c r="J82" s="25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45"/>
      <c r="O83" s="245"/>
    </row>
    <row r="84" spans="3:15" ht="15">
      <c r="C84" s="87">
        <v>42397</v>
      </c>
      <c r="D84" s="31">
        <v>8685</v>
      </c>
      <c r="F84" s="166" t="s">
        <v>59</v>
      </c>
      <c r="G84" s="239"/>
      <c r="H84" s="239"/>
      <c r="I84" s="131"/>
      <c r="J84" s="242"/>
      <c r="K84" s="242"/>
      <c r="L84" s="242"/>
      <c r="M84" s="242"/>
      <c r="N84" s="245"/>
      <c r="O84" s="245"/>
    </row>
    <row r="85" spans="3:15" ht="15.75" customHeight="1">
      <c r="C85" s="87">
        <v>42396</v>
      </c>
      <c r="D85" s="31">
        <v>4820.3</v>
      </c>
      <c r="F85" s="167"/>
      <c r="G85" s="239"/>
      <c r="H85" s="239"/>
      <c r="I85" s="131"/>
      <c r="J85" s="246"/>
      <c r="K85" s="246"/>
      <c r="L85" s="246"/>
      <c r="M85" s="246"/>
      <c r="N85" s="245"/>
      <c r="O85" s="245"/>
    </row>
    <row r="86" spans="3:13" ht="15.75" customHeight="1">
      <c r="C86" s="87"/>
      <c r="F86" s="167"/>
      <c r="G86" s="241"/>
      <c r="H86" s="241"/>
      <c r="I86" s="139"/>
      <c r="J86" s="242"/>
      <c r="K86" s="242"/>
      <c r="L86" s="242"/>
      <c r="M86" s="242"/>
    </row>
    <row r="87" spans="2:13" ht="18.75" customHeight="1">
      <c r="B87" s="243" t="s">
        <v>57</v>
      </c>
      <c r="C87" s="244"/>
      <c r="D87" s="148">
        <v>300.92</v>
      </c>
      <c r="E87" s="74"/>
      <c r="F87" s="168"/>
      <c r="G87" s="239"/>
      <c r="H87" s="239"/>
      <c r="I87" s="141"/>
      <c r="J87" s="242"/>
      <c r="K87" s="242"/>
      <c r="L87" s="242"/>
      <c r="M87" s="242"/>
    </row>
    <row r="88" spans="6:12" ht="9.75" customHeight="1">
      <c r="F88" s="167"/>
      <c r="G88" s="239"/>
      <c r="H88" s="239"/>
      <c r="I88" s="73"/>
      <c r="J88" s="74"/>
      <c r="K88" s="74"/>
      <c r="L88" s="74"/>
    </row>
    <row r="89" spans="2:12" ht="22.5" customHeight="1" hidden="1">
      <c r="B89" s="237" t="s">
        <v>60</v>
      </c>
      <c r="C89" s="238"/>
      <c r="D89" s="86">
        <v>0</v>
      </c>
      <c r="E89" s="56" t="s">
        <v>24</v>
      </c>
      <c r="F89" s="167"/>
      <c r="G89" s="239"/>
      <c r="H89" s="2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39"/>
      <c r="O90" s="239"/>
    </row>
    <row r="91" spans="4:15" ht="15">
      <c r="D91" s="83"/>
      <c r="I91" s="31"/>
      <c r="N91" s="240"/>
      <c r="O91" s="240"/>
    </row>
    <row r="92" spans="14:15" ht="15">
      <c r="N92" s="239"/>
      <c r="O92" s="2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2016-05-17T07:58:03Z</cp:lastPrinted>
  <dcterms:created xsi:type="dcterms:W3CDTF">2003-07-28T11:27:56Z</dcterms:created>
  <dcterms:modified xsi:type="dcterms:W3CDTF">2016-05-17T08:10:32Z</dcterms:modified>
  <cp:category/>
  <cp:version/>
  <cp:contentType/>
  <cp:contentStatus/>
</cp:coreProperties>
</file>